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配信データ\gsj_openfile_report_702\gsj_openfile_report_702\"/>
    </mc:Choice>
  </mc:AlternateContent>
  <xr:revisionPtr revIDLastSave="0" documentId="13_ncr:1_{1246E691-668A-4C34-93EE-3952A48BD58C}" xr6:coauthVersionLast="45" xr6:coauthVersionMax="45" xr10:uidLastSave="{00000000-0000-0000-0000-000000000000}"/>
  <bookViews>
    <workbookView xWindow="390" yWindow="390" windowWidth="23775" windowHeight="14475" xr2:uid="{490C176F-5B0B-E240-8D0A-2CCA7BBACE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8" i="1"/>
  <c r="O8" i="1" l="1"/>
  <c r="O7" i="1"/>
  <c r="O6" i="1"/>
  <c r="O13" i="1"/>
  <c r="M9" i="1"/>
  <c r="M8" i="1"/>
  <c r="M7" i="1"/>
  <c r="M6" i="1"/>
  <c r="M5" i="1"/>
  <c r="M4" i="1"/>
  <c r="M11" i="1" s="1"/>
  <c r="M17" i="1" s="1"/>
  <c r="M18" i="1" s="1"/>
  <c r="M19" i="1" s="1"/>
  <c r="L4" i="1"/>
  <c r="L7" i="1"/>
  <c r="L6" i="1"/>
  <c r="L5" i="1"/>
  <c r="K5" i="1"/>
  <c r="K12" i="1"/>
  <c r="I5" i="1"/>
  <c r="I4" i="1"/>
  <c r="H5" i="1"/>
  <c r="E6" i="1"/>
  <c r="E13" i="1"/>
  <c r="E7" i="1"/>
  <c r="B6" i="1"/>
  <c r="B13" i="1" s="1"/>
  <c r="B17" i="1" s="1"/>
  <c r="B18" i="1" s="1"/>
  <c r="B19" i="1" s="1"/>
  <c r="B7" i="1"/>
  <c r="B8" i="1"/>
  <c r="W5" i="1"/>
  <c r="W12" i="1"/>
  <c r="W17" i="1"/>
  <c r="W18" i="1" s="1"/>
  <c r="W19" i="1" s="1"/>
  <c r="AG6" i="1"/>
  <c r="AG13" i="1"/>
  <c r="AG17" i="1" s="1"/>
  <c r="AG18" i="1" s="1"/>
  <c r="AG19" i="1" s="1"/>
  <c r="AF5" i="1"/>
  <c r="AF12" i="1"/>
  <c r="AE7" i="1"/>
  <c r="AE14" i="1"/>
  <c r="AE5" i="1"/>
  <c r="AE12" i="1"/>
  <c r="AE17" i="1" s="1"/>
  <c r="AE18" i="1" s="1"/>
  <c r="AE19" i="1" s="1"/>
  <c r="AE6" i="1"/>
  <c r="AE13" i="1"/>
  <c r="AD5" i="1"/>
  <c r="AD12" i="1"/>
  <c r="AD6" i="1"/>
  <c r="AD13" i="1" s="1"/>
  <c r="AD17" i="1" s="1"/>
  <c r="AD18" i="1" s="1"/>
  <c r="AD19" i="1" s="1"/>
  <c r="AD7" i="1"/>
  <c r="AD14" i="1"/>
  <c r="AB6" i="1"/>
  <c r="AB13" i="1" s="1"/>
  <c r="AB5" i="1"/>
  <c r="AB12" i="1" s="1"/>
  <c r="AB17" i="1" s="1"/>
  <c r="AB18" i="1" s="1"/>
  <c r="AB19" i="1" s="1"/>
  <c r="AC5" i="1"/>
  <c r="AC12" i="1" s="1"/>
  <c r="AC17" i="1" s="1"/>
  <c r="AC18" i="1" s="1"/>
  <c r="AC19" i="1" s="1"/>
  <c r="AF17" i="1"/>
  <c r="AF18" i="1" s="1"/>
  <c r="AF19" i="1" s="1"/>
  <c r="V6" i="1"/>
  <c r="V13" i="1" s="1"/>
  <c r="V17" i="1" s="1"/>
  <c r="V18" i="1" s="1"/>
  <c r="V19" i="1" s="1"/>
  <c r="V7" i="1"/>
  <c r="V14" i="1"/>
  <c r="Q5" i="1"/>
  <c r="Q12" i="1"/>
  <c r="Q6" i="1"/>
  <c r="Q13" i="1"/>
  <c r="Q17" i="1"/>
  <c r="Q18" i="1" s="1"/>
  <c r="Q19" i="1" s="1"/>
  <c r="F7" i="1"/>
  <c r="F8" i="1"/>
  <c r="F15" i="1" s="1"/>
  <c r="F9" i="1"/>
  <c r="F16" i="1" s="1"/>
  <c r="F14" i="1"/>
  <c r="F17" i="1" s="1"/>
  <c r="F18" i="1" s="1"/>
  <c r="F19" i="1" s="1"/>
  <c r="AH5" i="1"/>
  <c r="AH12" i="1"/>
  <c r="AH6" i="1"/>
  <c r="AH13" i="1" s="1"/>
  <c r="AH7" i="1"/>
  <c r="AH14" i="1"/>
  <c r="AH8" i="1"/>
  <c r="AH15" i="1"/>
  <c r="AH9" i="1"/>
  <c r="AH16" i="1" s="1"/>
  <c r="AA4" i="1"/>
  <c r="AA11" i="1"/>
  <c r="AA17" i="1" s="1"/>
  <c r="AA18" i="1" s="1"/>
  <c r="AA19" i="1" s="1"/>
  <c r="AA5" i="1"/>
  <c r="AA12" i="1"/>
  <c r="AA6" i="1"/>
  <c r="AA13" i="1"/>
  <c r="Z5" i="1"/>
  <c r="Z12" i="1"/>
  <c r="Z17" i="1"/>
  <c r="Z18" i="1"/>
  <c r="Z19" i="1" s="1"/>
  <c r="Y6" i="1"/>
  <c r="Y13" i="1"/>
  <c r="Y17" i="1" s="1"/>
  <c r="Y18" i="1" s="1"/>
  <c r="Y19" i="1" s="1"/>
  <c r="Y7" i="1"/>
  <c r="Y14" i="1"/>
  <c r="Y8" i="1"/>
  <c r="Y15" i="1"/>
  <c r="X5" i="1"/>
  <c r="X12" i="1"/>
  <c r="X6" i="1"/>
  <c r="X13" i="1"/>
  <c r="X17" i="1"/>
  <c r="X18" i="1"/>
  <c r="X19" i="1" s="1"/>
  <c r="U6" i="1"/>
  <c r="U13" i="1"/>
  <c r="U7" i="1"/>
  <c r="U14" i="1"/>
  <c r="U17" i="1"/>
  <c r="U18" i="1"/>
  <c r="U19" i="1" s="1"/>
  <c r="T8" i="1"/>
  <c r="T15" i="1"/>
  <c r="T9" i="1"/>
  <c r="T16" i="1"/>
  <c r="T17" i="1"/>
  <c r="T18" i="1"/>
  <c r="T19" i="1" s="1"/>
  <c r="S5" i="1"/>
  <c r="S12" i="1"/>
  <c r="S6" i="1"/>
  <c r="S13" i="1"/>
  <c r="S17" i="1"/>
  <c r="S18" i="1"/>
  <c r="S19" i="1" s="1"/>
  <c r="R5" i="1"/>
  <c r="R12" i="1"/>
  <c r="R17" i="1" s="1"/>
  <c r="R18" i="1" s="1"/>
  <c r="R19" i="1" s="1"/>
  <c r="R6" i="1"/>
  <c r="R13" i="1"/>
  <c r="R7" i="1"/>
  <c r="R14" i="1"/>
  <c r="P5" i="1"/>
  <c r="P12" i="1"/>
  <c r="P17" i="1" s="1"/>
  <c r="P18" i="1" s="1"/>
  <c r="P19" i="1" s="1"/>
  <c r="P6" i="1"/>
  <c r="P13" i="1"/>
  <c r="O14" i="1"/>
  <c r="O17" i="1" s="1"/>
  <c r="O18" i="1" s="1"/>
  <c r="O19" i="1" s="1"/>
  <c r="O15" i="1"/>
  <c r="O9" i="1"/>
  <c r="O16" i="1"/>
  <c r="N5" i="1"/>
  <c r="N12" i="1"/>
  <c r="N17" i="1" s="1"/>
  <c r="N18" i="1" s="1"/>
  <c r="N19" i="1" s="1"/>
  <c r="N6" i="1"/>
  <c r="N13" i="1"/>
  <c r="M12" i="1"/>
  <c r="M13" i="1"/>
  <c r="M14" i="1"/>
  <c r="M15" i="1"/>
  <c r="M16" i="1"/>
  <c r="L12" i="1"/>
  <c r="L17" i="1" s="1"/>
  <c r="L18" i="1" s="1"/>
  <c r="L19" i="1" s="1"/>
  <c r="L13" i="1"/>
  <c r="L14" i="1"/>
  <c r="K6" i="1"/>
  <c r="K13" i="1"/>
  <c r="K17" i="1"/>
  <c r="K18" i="1"/>
  <c r="K19" i="1" s="1"/>
  <c r="J5" i="1"/>
  <c r="J12" i="1"/>
  <c r="J17" i="1"/>
  <c r="J18" i="1"/>
  <c r="J19" i="1" s="1"/>
  <c r="I11" i="1"/>
  <c r="I17" i="1" s="1"/>
  <c r="I18" i="1" s="1"/>
  <c r="I19" i="1" s="1"/>
  <c r="I12" i="1"/>
  <c r="H12" i="1"/>
  <c r="H17" i="1"/>
  <c r="H18" i="1"/>
  <c r="G6" i="1"/>
  <c r="G13" i="1" s="1"/>
  <c r="G17" i="1" s="1"/>
  <c r="G18" i="1" s="1"/>
  <c r="G19" i="1" s="1"/>
  <c r="G7" i="1"/>
  <c r="G14" i="1"/>
  <c r="G15" i="1"/>
  <c r="G16" i="1"/>
  <c r="E14" i="1"/>
  <c r="E17" i="1"/>
  <c r="E18" i="1"/>
  <c r="E19" i="1" s="1"/>
  <c r="D6" i="1"/>
  <c r="D13" i="1"/>
  <c r="D17" i="1" s="1"/>
  <c r="D18" i="1" s="1"/>
  <c r="D19" i="1" s="1"/>
  <c r="D7" i="1"/>
  <c r="D14" i="1"/>
  <c r="C6" i="1"/>
  <c r="C13" i="1"/>
  <c r="C17" i="1" s="1"/>
  <c r="C18" i="1" s="1"/>
  <c r="C19" i="1" s="1"/>
  <c r="C7" i="1"/>
  <c r="C14" i="1"/>
  <c r="C8" i="1"/>
  <c r="C15" i="1"/>
  <c r="C9" i="1"/>
  <c r="C16" i="1"/>
  <c r="B14" i="1"/>
  <c r="B15" i="1"/>
  <c r="H19" i="1"/>
  <c r="AH17" i="1" l="1"/>
  <c r="AH18" i="1" s="1"/>
  <c r="AH19" i="1" s="1"/>
</calcChain>
</file>

<file path=xl/sharedStrings.xml><?xml version="1.0" encoding="utf-8"?>
<sst xmlns="http://schemas.openxmlformats.org/spreadsheetml/2006/main" count="106" uniqueCount="41">
  <si>
    <t>S-10</t>
    <phoneticPr fontId="2"/>
  </si>
  <si>
    <t>S-11</t>
    <phoneticPr fontId="2"/>
  </si>
  <si>
    <t>S-12</t>
    <phoneticPr fontId="3"/>
  </si>
  <si>
    <t>S-13</t>
    <phoneticPr fontId="1"/>
  </si>
  <si>
    <t>S-14</t>
    <phoneticPr fontId="1"/>
  </si>
  <si>
    <t>S-15</t>
    <phoneticPr fontId="1"/>
  </si>
  <si>
    <t>S-16</t>
    <phoneticPr fontId="1"/>
  </si>
  <si>
    <t>S-17</t>
    <phoneticPr fontId="1"/>
  </si>
  <si>
    <t>S-18</t>
    <phoneticPr fontId="1"/>
  </si>
  <si>
    <t>S-19</t>
    <phoneticPr fontId="1"/>
  </si>
  <si>
    <t>S-20</t>
    <phoneticPr fontId="1"/>
  </si>
  <si>
    <t>S-21</t>
    <phoneticPr fontId="1"/>
  </si>
  <si>
    <t>S-22</t>
    <phoneticPr fontId="1"/>
  </si>
  <si>
    <t>SU-1</t>
    <phoneticPr fontId="1"/>
  </si>
  <si>
    <t>S-23</t>
    <phoneticPr fontId="1"/>
  </si>
  <si>
    <t>SU-3</t>
    <phoneticPr fontId="1"/>
  </si>
  <si>
    <t>SU-4</t>
    <phoneticPr fontId="1"/>
  </si>
  <si>
    <t>SU-5</t>
    <phoneticPr fontId="1"/>
  </si>
  <si>
    <t>SU-6</t>
    <phoneticPr fontId="1"/>
  </si>
  <si>
    <t>S-17´</t>
    <phoneticPr fontId="1"/>
  </si>
  <si>
    <t>SU-6´</t>
    <phoneticPr fontId="1"/>
  </si>
  <si>
    <t>SU-7</t>
    <phoneticPr fontId="1"/>
  </si>
  <si>
    <t>YG-1</t>
    <phoneticPr fontId="1"/>
  </si>
  <si>
    <t>Unit</t>
    <phoneticPr fontId="1"/>
  </si>
  <si>
    <t xml:space="preserve"> Isopach (cm)</t>
    <phoneticPr fontId="3"/>
  </si>
  <si>
    <t>Weight (kg)</t>
    <phoneticPr fontId="2"/>
  </si>
  <si>
    <t>Osawa</t>
    <phoneticPr fontId="2"/>
  </si>
  <si>
    <t>Omuroyama</t>
    <phoneticPr fontId="1"/>
  </si>
  <si>
    <t>Komagata</t>
    <phoneticPr fontId="1"/>
  </si>
  <si>
    <t>Aramaki</t>
    <phoneticPr fontId="1"/>
  </si>
  <si>
    <t>Futatsuzuka</t>
    <phoneticPr fontId="1"/>
  </si>
  <si>
    <t>Takahachiyama-chusyajo</t>
    <phoneticPr fontId="1"/>
  </si>
  <si>
    <t>Akatsuka</t>
    <phoneticPr fontId="1"/>
  </si>
  <si>
    <t>Nishifutatsudake</t>
    <phoneticPr fontId="1"/>
  </si>
  <si>
    <t>Hoei</t>
    <phoneticPr fontId="1"/>
  </si>
  <si>
    <r>
      <t>Area (km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)</t>
    </r>
    <phoneticPr fontId="1"/>
  </si>
  <si>
    <r>
      <t>Min V (km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)</t>
    </r>
    <phoneticPr fontId="1"/>
  </si>
  <si>
    <r>
      <t>Min Volume (km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  <phoneticPr fontId="3"/>
  </si>
  <si>
    <t>Hakusandake-nishi</t>
    <phoneticPr fontId="1"/>
  </si>
  <si>
    <r>
      <t>Min Volume (km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DRE)</t>
    </r>
    <phoneticPr fontId="1"/>
  </si>
  <si>
    <t>Table 2. Minimum volumes for the pyroclastic fall deposits. The minimum volume was determined by the method in Legros (2000).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</si>
</sst>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E+00"/>
    <numFmt numFmtId="177" formatCode="0_);[Red]\(0\)"/>
  </numFmts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Osaka"/>
      <family val="3"/>
      <charset val="128"/>
    </font>
    <font>
      <sz val="12"/>
      <color theme="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vertAlign val="superscript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77" fontId="5" fillId="0" borderId="2" xfId="0" applyNumberFormat="1" applyFont="1" applyFill="1" applyBorder="1" applyAlignment="1" applyProtection="1">
      <alignment horizontal="center"/>
      <protection locked="0"/>
    </xf>
    <xf numFmtId="177" fontId="5" fillId="0" borderId="5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/>
      <protection locked="0"/>
    </xf>
    <xf numFmtId="176" fontId="4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/>
    </xf>
    <xf numFmtId="176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/>
    </xf>
    <xf numFmtId="176" fontId="4" fillId="0" borderId="6" xfId="0" applyNumberFormat="1" applyFont="1" applyFill="1" applyBorder="1" applyAlignment="1">
      <alignment horizontal="center"/>
    </xf>
    <xf numFmtId="176" fontId="4" fillId="0" borderId="8" xfId="0" applyNumberFormat="1" applyFont="1" applyFill="1" applyBorder="1" applyAlignment="1">
      <alignment horizontal="center"/>
    </xf>
    <xf numFmtId="176" fontId="4" fillId="0" borderId="9" xfId="0" applyNumberFormat="1" applyFont="1" applyFill="1" applyBorder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  <protection locked="0"/>
    </xf>
    <xf numFmtId="176" fontId="4" fillId="2" borderId="1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 applyProtection="1">
      <alignment horizontal="center"/>
      <protection locked="0"/>
    </xf>
    <xf numFmtId="176" fontId="5" fillId="0" borderId="3" xfId="0" applyNumberFormat="1" applyFont="1" applyBorder="1" applyAlignment="1" applyProtection="1">
      <alignment horizontal="center"/>
      <protection locked="0"/>
    </xf>
    <xf numFmtId="176" fontId="5" fillId="0" borderId="4" xfId="0" applyNumberFormat="1" applyFont="1" applyBorder="1" applyAlignment="1" applyProtection="1">
      <alignment horizontal="center"/>
      <protection locked="0"/>
    </xf>
    <xf numFmtId="177" fontId="5" fillId="0" borderId="5" xfId="0" applyNumberFormat="1" applyFont="1" applyBorder="1" applyAlignment="1" applyProtection="1">
      <alignment horizontal="center"/>
      <protection locked="0"/>
    </xf>
    <xf numFmtId="176" fontId="4" fillId="2" borderId="6" xfId="0" applyNumberFormat="1" applyFont="1" applyFill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 applyProtection="1">
      <alignment horizontal="center"/>
      <protection locked="0"/>
    </xf>
    <xf numFmtId="176" fontId="4" fillId="2" borderId="8" xfId="0" applyNumberFormat="1" applyFont="1" applyFill="1" applyBorder="1" applyAlignment="1" applyProtection="1">
      <alignment horizontal="center"/>
      <protection locked="0"/>
    </xf>
    <xf numFmtId="176" fontId="5" fillId="0" borderId="8" xfId="0" applyNumberFormat="1" applyFont="1" applyBorder="1" applyAlignment="1" applyProtection="1">
      <alignment horizontal="center"/>
      <protection locked="0"/>
    </xf>
    <xf numFmtId="176" fontId="5" fillId="2" borderId="8" xfId="0" applyNumberFormat="1" applyFont="1" applyFill="1" applyBorder="1" applyAlignment="1" applyProtection="1">
      <alignment horizontal="center"/>
      <protection locked="0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176" fontId="4" fillId="0" borderId="6" xfId="0" applyNumberFormat="1" applyFont="1" applyBorder="1" applyAlignment="1">
      <alignment horizontal="center"/>
    </xf>
    <xf numFmtId="176" fontId="4" fillId="2" borderId="8" xfId="0" applyNumberFormat="1" applyFont="1" applyFill="1" applyBorder="1" applyAlignment="1">
      <alignment horizontal="center"/>
    </xf>
    <xf numFmtId="176" fontId="4" fillId="0" borderId="8" xfId="0" applyNumberFormat="1" applyFont="1" applyBorder="1" applyAlignment="1">
      <alignment horizontal="center"/>
    </xf>
    <xf numFmtId="176" fontId="4" fillId="0" borderId="9" xfId="0" applyNumberFormat="1" applyFont="1" applyBorder="1" applyAlignment="1">
      <alignment horizontal="center"/>
    </xf>
    <xf numFmtId="176" fontId="4" fillId="2" borderId="8" xfId="0" applyNumberFormat="1" applyFont="1" applyFill="1" applyBorder="1" applyAlignment="1">
      <alignment horizontal="center" vertical="center"/>
    </xf>
    <xf numFmtId="177" fontId="4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1B3C-B5BD-544C-921E-81C95195A2C7}">
  <dimension ref="A1:AH19"/>
  <sheetViews>
    <sheetView tabSelected="1" workbookViewId="0">
      <selection activeCell="F25" sqref="F25"/>
    </sheetView>
  </sheetViews>
  <sheetFormatPr defaultColWidth="10.6640625" defaultRowHeight="15"/>
  <cols>
    <col min="1" max="1" width="20.33203125" style="15" customWidth="1"/>
    <col min="2" max="5" width="15.109375" style="5" customWidth="1"/>
    <col min="6" max="6" width="15.109375" style="16" customWidth="1"/>
    <col min="7" max="16" width="15.109375" style="5" customWidth="1"/>
    <col min="17" max="17" width="15.109375" style="16" customWidth="1"/>
    <col min="18" max="33" width="15.109375" style="5" customWidth="1"/>
    <col min="34" max="34" width="15.109375" style="16" customWidth="1"/>
    <col min="35" max="16384" width="10.6640625" style="5"/>
  </cols>
  <sheetData>
    <row r="1" spans="1:34" ht="15.75" thickBot="1">
      <c r="A1" s="43" t="s">
        <v>40</v>
      </c>
    </row>
    <row r="2" spans="1:34" s="20" customFormat="1" ht="36" customHeight="1" thickBot="1">
      <c r="A2" s="21" t="s">
        <v>23</v>
      </c>
      <c r="B2" s="22" t="s">
        <v>0</v>
      </c>
      <c r="C2" s="22" t="s">
        <v>26</v>
      </c>
      <c r="D2" s="22" t="s">
        <v>1</v>
      </c>
      <c r="E2" s="22" t="s">
        <v>2</v>
      </c>
      <c r="F2" s="22" t="s">
        <v>27</v>
      </c>
      <c r="G2" s="22" t="s">
        <v>3</v>
      </c>
      <c r="H2" s="22" t="s">
        <v>4</v>
      </c>
      <c r="I2" s="22" t="s">
        <v>5</v>
      </c>
      <c r="J2" s="22" t="s">
        <v>28</v>
      </c>
      <c r="K2" s="22" t="s">
        <v>6</v>
      </c>
      <c r="L2" s="22" t="s">
        <v>7</v>
      </c>
      <c r="M2" s="22" t="s">
        <v>19</v>
      </c>
      <c r="N2" s="22" t="s">
        <v>38</v>
      </c>
      <c r="O2" s="22" t="s">
        <v>8</v>
      </c>
      <c r="P2" s="22" t="s">
        <v>9</v>
      </c>
      <c r="Q2" s="22" t="s">
        <v>10</v>
      </c>
      <c r="R2" s="22" t="s">
        <v>29</v>
      </c>
      <c r="S2" s="22" t="s">
        <v>11</v>
      </c>
      <c r="T2" s="22" t="s">
        <v>12</v>
      </c>
      <c r="U2" s="22" t="s">
        <v>30</v>
      </c>
      <c r="V2" s="22" t="s">
        <v>14</v>
      </c>
      <c r="W2" s="22" t="s">
        <v>22</v>
      </c>
      <c r="X2" s="22" t="s">
        <v>13</v>
      </c>
      <c r="Y2" s="22" t="s">
        <v>31</v>
      </c>
      <c r="Z2" s="22" t="s">
        <v>32</v>
      </c>
      <c r="AA2" s="22" t="s">
        <v>33</v>
      </c>
      <c r="AB2" s="22" t="s">
        <v>15</v>
      </c>
      <c r="AC2" s="22" t="s">
        <v>16</v>
      </c>
      <c r="AD2" s="22" t="s">
        <v>17</v>
      </c>
      <c r="AE2" s="22" t="s">
        <v>18</v>
      </c>
      <c r="AF2" s="22" t="s">
        <v>20</v>
      </c>
      <c r="AG2" s="22" t="s">
        <v>21</v>
      </c>
      <c r="AH2" s="23" t="s">
        <v>34</v>
      </c>
    </row>
    <row r="3" spans="1:34" ht="20.100000000000001" customHeight="1">
      <c r="A3" s="24" t="s">
        <v>24</v>
      </c>
      <c r="B3" s="25" t="s">
        <v>35</v>
      </c>
      <c r="C3" s="25" t="s">
        <v>35</v>
      </c>
      <c r="D3" s="25" t="s">
        <v>35</v>
      </c>
      <c r="E3" s="25" t="s">
        <v>35</v>
      </c>
      <c r="F3" s="25" t="s">
        <v>35</v>
      </c>
      <c r="G3" s="25" t="s">
        <v>35</v>
      </c>
      <c r="H3" s="25" t="s">
        <v>35</v>
      </c>
      <c r="I3" s="25" t="s">
        <v>35</v>
      </c>
      <c r="J3" s="25" t="s">
        <v>35</v>
      </c>
      <c r="K3" s="25" t="s">
        <v>35</v>
      </c>
      <c r="L3" s="25" t="s">
        <v>35</v>
      </c>
      <c r="M3" s="25" t="s">
        <v>35</v>
      </c>
      <c r="N3" s="25" t="s">
        <v>35</v>
      </c>
      <c r="O3" s="25" t="s">
        <v>35</v>
      </c>
      <c r="P3" s="25" t="s">
        <v>35</v>
      </c>
      <c r="Q3" s="25" t="s">
        <v>35</v>
      </c>
      <c r="R3" s="25" t="s">
        <v>35</v>
      </c>
      <c r="S3" s="25" t="s">
        <v>35</v>
      </c>
      <c r="T3" s="25" t="s">
        <v>35</v>
      </c>
      <c r="U3" s="25" t="s">
        <v>35</v>
      </c>
      <c r="V3" s="25" t="s">
        <v>35</v>
      </c>
      <c r="W3" s="25" t="s">
        <v>35</v>
      </c>
      <c r="X3" s="25" t="s">
        <v>35</v>
      </c>
      <c r="Y3" s="25" t="s">
        <v>35</v>
      </c>
      <c r="Z3" s="25" t="s">
        <v>35</v>
      </c>
      <c r="AA3" s="25" t="s">
        <v>35</v>
      </c>
      <c r="AB3" s="25" t="s">
        <v>35</v>
      </c>
      <c r="AC3" s="25" t="s">
        <v>35</v>
      </c>
      <c r="AD3" s="25" t="s">
        <v>35</v>
      </c>
      <c r="AE3" s="25" t="s">
        <v>35</v>
      </c>
      <c r="AF3" s="25" t="s">
        <v>35</v>
      </c>
      <c r="AG3" s="25" t="s">
        <v>35</v>
      </c>
      <c r="AH3" s="26" t="s">
        <v>35</v>
      </c>
    </row>
    <row r="4" spans="1:34" ht="20.100000000000001" customHeight="1">
      <c r="A4" s="27">
        <v>4</v>
      </c>
      <c r="B4" s="17"/>
      <c r="C4" s="18"/>
      <c r="D4" s="17"/>
      <c r="E4" s="18"/>
      <c r="F4" s="19"/>
      <c r="G4" s="18"/>
      <c r="H4" s="18"/>
      <c r="I4" s="6">
        <f>681654*9/154465</f>
        <v>39.716997378046806</v>
      </c>
      <c r="J4" s="18"/>
      <c r="K4" s="17"/>
      <c r="L4" s="6">
        <f>5448172*9/154465</f>
        <v>317.44115495419675</v>
      </c>
      <c r="M4" s="6">
        <f>5448172*9/154465</f>
        <v>317.44115495419675</v>
      </c>
      <c r="N4" s="17"/>
      <c r="O4" s="17"/>
      <c r="P4" s="17"/>
      <c r="Q4" s="19"/>
      <c r="R4" s="17"/>
      <c r="S4" s="17"/>
      <c r="T4" s="17"/>
      <c r="U4" s="17"/>
      <c r="V4" s="17"/>
      <c r="W4" s="17"/>
      <c r="X4" s="17"/>
      <c r="Y4" s="18"/>
      <c r="Z4" s="18"/>
      <c r="AA4" s="17">
        <f>1137473*9/154465</f>
        <v>66.275576991551489</v>
      </c>
      <c r="AB4" s="17"/>
      <c r="AC4" s="17"/>
      <c r="AD4" s="17"/>
      <c r="AE4" s="17"/>
      <c r="AF4" s="17"/>
      <c r="AG4" s="17"/>
      <c r="AH4" s="28"/>
    </row>
    <row r="5" spans="1:34" ht="20.100000000000001" customHeight="1">
      <c r="A5" s="27">
        <v>8</v>
      </c>
      <c r="B5" s="17"/>
      <c r="C5" s="18"/>
      <c r="D5" s="17"/>
      <c r="E5" s="18"/>
      <c r="F5" s="19"/>
      <c r="G5" s="18"/>
      <c r="H5" s="6">
        <f>2399733*9/154465</f>
        <v>139.82194671932152</v>
      </c>
      <c r="I5" s="6">
        <f>227436*9/154465</f>
        <v>13.251701032596381</v>
      </c>
      <c r="J5" s="6">
        <f>272674*9/154465</f>
        <v>15.887521444987538</v>
      </c>
      <c r="K5" s="6">
        <f>5581359*9/154465</f>
        <v>325.20137895316088</v>
      </c>
      <c r="L5" s="6">
        <f>3065495*9/154465</f>
        <v>178.61298676075486</v>
      </c>
      <c r="M5" s="6">
        <f>2698918*9/154465</f>
        <v>157.25414818891011</v>
      </c>
      <c r="N5" s="6">
        <f>628852*9/154465</f>
        <v>36.640455766678535</v>
      </c>
      <c r="O5" s="17"/>
      <c r="P5" s="6">
        <f>1597930*9/154465</f>
        <v>93.104392580843552</v>
      </c>
      <c r="Q5" s="7">
        <f>732571*9/150000</f>
        <v>43.954259999999998</v>
      </c>
      <c r="R5" s="6">
        <f>790917*9/154465</f>
        <v>46.083274528210275</v>
      </c>
      <c r="S5" s="6">
        <f>410734*9/154465</f>
        <v>23.931673841970674</v>
      </c>
      <c r="T5" s="17"/>
      <c r="U5" s="17"/>
      <c r="V5" s="17"/>
      <c r="W5" s="6">
        <f>352619*9/150000</f>
        <v>21.157139999999998</v>
      </c>
      <c r="X5" s="6">
        <f>1453011*9/154465</f>
        <v>84.660596251578028</v>
      </c>
      <c r="Y5" s="18"/>
      <c r="Z5" s="6">
        <f>245575*9/154465</f>
        <v>14.308581231994303</v>
      </c>
      <c r="AA5" s="6">
        <f>336355*9/154465</f>
        <v>19.597934807237884</v>
      </c>
      <c r="AB5" s="6">
        <f>335464*9/150000</f>
        <v>20.127839999999999</v>
      </c>
      <c r="AC5" s="6">
        <f>107756*9/150000</f>
        <v>6.4653600000000004</v>
      </c>
      <c r="AD5" s="6">
        <f>1155310*9/150000</f>
        <v>69.318600000000004</v>
      </c>
      <c r="AE5" s="6">
        <f>454300*9/150000</f>
        <v>27.257999999999999</v>
      </c>
      <c r="AF5" s="6">
        <f>298961*9/150000</f>
        <v>17.937660000000001</v>
      </c>
      <c r="AG5" s="17"/>
      <c r="AH5" s="29">
        <f>237890*2500/161250</f>
        <v>3688.2170542635658</v>
      </c>
    </row>
    <row r="6" spans="1:34" ht="20.100000000000001" customHeight="1">
      <c r="A6" s="27">
        <v>16</v>
      </c>
      <c r="B6" s="6">
        <f>7193612*9/154465</f>
        <v>419.14031010261226</v>
      </c>
      <c r="C6" s="6">
        <f>4120063*9/154465</f>
        <v>240.05805198588678</v>
      </c>
      <c r="D6" s="6">
        <f>2888639*9/154465</f>
        <v>168.30836111740524</v>
      </c>
      <c r="E6" s="6">
        <f>2987677*9/154465</f>
        <v>174.07887223642896</v>
      </c>
      <c r="F6" s="19"/>
      <c r="G6" s="6">
        <f>6663109*9/154465</f>
        <v>388.23022043828701</v>
      </c>
      <c r="H6" s="17"/>
      <c r="I6" s="17"/>
      <c r="J6" s="17"/>
      <c r="K6" s="6">
        <f>2713468*9/154465</f>
        <v>158.10191305473731</v>
      </c>
      <c r="L6" s="6">
        <f>1187772*9/154465</f>
        <v>69.206279739746861</v>
      </c>
      <c r="M6" s="6">
        <f>1319987*9/154465</f>
        <v>76.909869549736186</v>
      </c>
      <c r="N6" s="6">
        <f>355236*9/154465</f>
        <v>20.69804810151167</v>
      </c>
      <c r="O6" s="6">
        <f>7613751*9/154465</f>
        <v>443.61997216197847</v>
      </c>
      <c r="P6" s="6">
        <f>630657*9/154465</f>
        <v>36.745625222542323</v>
      </c>
      <c r="Q6" s="7">
        <f>230693*9/150000</f>
        <v>13.84158</v>
      </c>
      <c r="R6" s="6">
        <f>410882*9/154465</f>
        <v>23.940297154695237</v>
      </c>
      <c r="S6" s="6">
        <f>154110*9/154465</f>
        <v>8.9793157025863461</v>
      </c>
      <c r="T6" s="17"/>
      <c r="U6" s="6">
        <f>1096813*9/154465</f>
        <v>63.90649661735668</v>
      </c>
      <c r="V6" s="6">
        <f>1251240*9/150000</f>
        <v>75.074399999999997</v>
      </c>
      <c r="W6" s="17"/>
      <c r="X6" s="6">
        <f>698365*9/154465</f>
        <v>40.690674262777975</v>
      </c>
      <c r="Y6" s="6">
        <f>557059*9/154465</f>
        <v>32.457391642119575</v>
      </c>
      <c r="Z6" s="17"/>
      <c r="AA6" s="6">
        <f>97129*9/154465</f>
        <v>5.6592820380021367</v>
      </c>
      <c r="AB6" s="6">
        <f>131582*9/150000</f>
        <v>7.8949199999999999</v>
      </c>
      <c r="AC6" s="17"/>
      <c r="AD6" s="6">
        <f>585835*9/150000</f>
        <v>35.150100000000002</v>
      </c>
      <c r="AE6" s="6">
        <f>160000*9/150000</f>
        <v>9.6</v>
      </c>
      <c r="AF6" s="17"/>
      <c r="AG6" s="6">
        <f>184810*9/150000</f>
        <v>11.0886</v>
      </c>
      <c r="AH6" s="29">
        <f>121228*2500/161250</f>
        <v>1879.5038759689924</v>
      </c>
    </row>
    <row r="7" spans="1:34" ht="20.100000000000001" customHeight="1">
      <c r="A7" s="27">
        <v>32</v>
      </c>
      <c r="B7" s="6">
        <f>3626422*9/154465</f>
        <v>211.2957498462435</v>
      </c>
      <c r="C7" s="6">
        <f>2453486*9/154465</f>
        <v>142.95389894150779</v>
      </c>
      <c r="D7" s="6">
        <f>1080790*9/154465</f>
        <v>62.972906483669441</v>
      </c>
      <c r="E7" s="6">
        <f>1649415*9/154465</f>
        <v>96.104198362088496</v>
      </c>
      <c r="F7" s="7">
        <f>2689221*9/150000</f>
        <v>161.35326000000001</v>
      </c>
      <c r="G7" s="6">
        <f>4151453*9/154465</f>
        <v>241.8870100022659</v>
      </c>
      <c r="H7" s="17"/>
      <c r="I7" s="17"/>
      <c r="J7" s="17"/>
      <c r="K7" s="17"/>
      <c r="L7" s="6">
        <f>524522*9/154465</f>
        <v>30.561602952125078</v>
      </c>
      <c r="M7" s="6">
        <f>756723*9/154465</f>
        <v>44.090939695076557</v>
      </c>
      <c r="N7" s="17"/>
      <c r="O7" s="6">
        <f>3467458*9/154465</f>
        <v>202.03361279254199</v>
      </c>
      <c r="P7" s="17"/>
      <c r="Q7" s="19"/>
      <c r="R7" s="6">
        <f>191461*9/154465</f>
        <v>11.15559511863529</v>
      </c>
      <c r="S7" s="17"/>
      <c r="T7" s="17"/>
      <c r="U7" s="6">
        <f>489708*9/154465</f>
        <v>28.533143430550609</v>
      </c>
      <c r="V7" s="6">
        <f>466465*9/150000</f>
        <v>27.9879</v>
      </c>
      <c r="W7" s="17"/>
      <c r="X7" s="17"/>
      <c r="Y7" s="6">
        <f>207124*9/154465</f>
        <v>12.068209626776293</v>
      </c>
      <c r="Z7" s="17"/>
      <c r="AA7" s="17"/>
      <c r="AB7" s="17"/>
      <c r="AC7" s="17"/>
      <c r="AD7" s="6">
        <f>249674*9/150000</f>
        <v>14.98044</v>
      </c>
      <c r="AE7" s="6">
        <f>68696*9/150000</f>
        <v>4.1217600000000001</v>
      </c>
      <c r="AF7" s="17"/>
      <c r="AG7" s="17"/>
      <c r="AH7" s="29">
        <f>41588*2500/161250</f>
        <v>644.77519379844966</v>
      </c>
    </row>
    <row r="8" spans="1:34" ht="20.100000000000001" customHeight="1">
      <c r="A8" s="27">
        <v>64</v>
      </c>
      <c r="B8" s="6">
        <f>1616380*9/154465</f>
        <v>94.179393390088364</v>
      </c>
      <c r="C8" s="6">
        <f>1528957*9/154465</f>
        <v>89.085637523063482</v>
      </c>
      <c r="D8" s="17"/>
      <c r="E8" s="17"/>
      <c r="F8" s="7">
        <f>1559641*9/150000</f>
        <v>93.578460000000007</v>
      </c>
      <c r="G8" s="6">
        <f>1940167*9/154465</f>
        <v>113.0450458032564</v>
      </c>
      <c r="H8" s="17"/>
      <c r="I8" s="17"/>
      <c r="J8" s="17"/>
      <c r="K8" s="17"/>
      <c r="L8" s="17"/>
      <c r="M8" s="6">
        <f>436157*9/154465</f>
        <v>25.412960864920855</v>
      </c>
      <c r="N8" s="17"/>
      <c r="O8" s="6">
        <f>1434576*9/154465</f>
        <v>83.586469426730972</v>
      </c>
      <c r="P8" s="17"/>
      <c r="Q8" s="19"/>
      <c r="R8" s="17"/>
      <c r="S8" s="17"/>
      <c r="T8" s="6">
        <f>2137089*9/154465</f>
        <v>124.51882950830286</v>
      </c>
      <c r="U8" s="17"/>
      <c r="V8" s="17"/>
      <c r="W8" s="17"/>
      <c r="X8" s="17"/>
      <c r="Y8" s="6">
        <f>36053*9/154465</f>
        <v>2.1006506328294434</v>
      </c>
      <c r="Z8" s="17"/>
      <c r="AA8" s="17"/>
      <c r="AB8" s="17"/>
      <c r="AC8" s="17"/>
      <c r="AD8" s="17"/>
      <c r="AE8" s="17"/>
      <c r="AF8" s="17"/>
      <c r="AG8" s="17"/>
      <c r="AH8" s="29">
        <f>14740*2500/161250</f>
        <v>228.52713178294573</v>
      </c>
    </row>
    <row r="9" spans="1:34" ht="20.100000000000001" customHeight="1" thickBot="1">
      <c r="A9" s="30">
        <v>128</v>
      </c>
      <c r="B9" s="31"/>
      <c r="C9" s="32">
        <f>443567*9/154465</f>
        <v>25.8447091574143</v>
      </c>
      <c r="D9" s="31"/>
      <c r="E9" s="33"/>
      <c r="F9" s="34">
        <f>844705*9/150000</f>
        <v>50.682299999999998</v>
      </c>
      <c r="G9" s="32">
        <f>784769*9/154465</f>
        <v>45.725057456381705</v>
      </c>
      <c r="H9" s="33"/>
      <c r="I9" s="33"/>
      <c r="J9" s="33"/>
      <c r="K9" s="33"/>
      <c r="L9" s="33"/>
      <c r="M9" s="32">
        <f>200516*9/154465</f>
        <v>11.683190366749749</v>
      </c>
      <c r="N9" s="33"/>
      <c r="O9" s="32">
        <f>512644*9/154465</f>
        <v>29.869523840352183</v>
      </c>
      <c r="P9" s="33"/>
      <c r="Q9" s="42"/>
      <c r="R9" s="33"/>
      <c r="S9" s="33"/>
      <c r="T9" s="32">
        <f>751500*9/154465</f>
        <v>43.786618327776516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5">
        <f>5931*2500/161250</f>
        <v>91.95348837209302</v>
      </c>
    </row>
    <row r="10" spans="1:34" ht="20.100000000000001" customHeight="1">
      <c r="A10" s="24" t="s">
        <v>24</v>
      </c>
      <c r="B10" s="36" t="s">
        <v>36</v>
      </c>
      <c r="C10" s="36" t="s">
        <v>36</v>
      </c>
      <c r="D10" s="36" t="s">
        <v>36</v>
      </c>
      <c r="E10" s="36" t="s">
        <v>36</v>
      </c>
      <c r="F10" s="36" t="s">
        <v>36</v>
      </c>
      <c r="G10" s="36" t="s">
        <v>36</v>
      </c>
      <c r="H10" s="36" t="s">
        <v>36</v>
      </c>
      <c r="I10" s="36" t="s">
        <v>36</v>
      </c>
      <c r="J10" s="36" t="s">
        <v>36</v>
      </c>
      <c r="K10" s="36" t="s">
        <v>36</v>
      </c>
      <c r="L10" s="36" t="s">
        <v>36</v>
      </c>
      <c r="M10" s="36" t="s">
        <v>36</v>
      </c>
      <c r="N10" s="36" t="s">
        <v>36</v>
      </c>
      <c r="O10" s="36" t="s">
        <v>36</v>
      </c>
      <c r="P10" s="36" t="s">
        <v>36</v>
      </c>
      <c r="Q10" s="36" t="s">
        <v>36</v>
      </c>
      <c r="R10" s="36" t="s">
        <v>36</v>
      </c>
      <c r="S10" s="36" t="s">
        <v>36</v>
      </c>
      <c r="T10" s="36" t="s">
        <v>36</v>
      </c>
      <c r="U10" s="36" t="s">
        <v>36</v>
      </c>
      <c r="V10" s="36" t="s">
        <v>36</v>
      </c>
      <c r="W10" s="36" t="s">
        <v>36</v>
      </c>
      <c r="X10" s="36" t="s">
        <v>36</v>
      </c>
      <c r="Y10" s="36" t="s">
        <v>36</v>
      </c>
      <c r="Z10" s="36" t="s">
        <v>36</v>
      </c>
      <c r="AA10" s="36" t="s">
        <v>36</v>
      </c>
      <c r="AB10" s="36" t="s">
        <v>36</v>
      </c>
      <c r="AC10" s="36" t="s">
        <v>36</v>
      </c>
      <c r="AD10" s="36" t="s">
        <v>36</v>
      </c>
      <c r="AE10" s="36" t="s">
        <v>36</v>
      </c>
      <c r="AF10" s="36" t="s">
        <v>36</v>
      </c>
      <c r="AG10" s="36" t="s">
        <v>36</v>
      </c>
      <c r="AH10" s="37" t="s">
        <v>36</v>
      </c>
    </row>
    <row r="11" spans="1:34" ht="20.100000000000001" customHeight="1">
      <c r="A11" s="27">
        <v>4</v>
      </c>
      <c r="B11" s="17"/>
      <c r="C11" s="18"/>
      <c r="D11" s="17"/>
      <c r="E11" s="18"/>
      <c r="F11" s="19"/>
      <c r="G11" s="18"/>
      <c r="H11" s="18"/>
      <c r="I11" s="4">
        <f>3.69*I4*$A4/100000</f>
        <v>5.8622288129997081E-3</v>
      </c>
      <c r="J11" s="18"/>
      <c r="K11" s="18"/>
      <c r="L11" s="18"/>
      <c r="M11" s="4">
        <f t="shared" ref="M11:M16" si="0">3.69*M4*$A4/100000</f>
        <v>4.6854314471239437E-2</v>
      </c>
      <c r="N11" s="18"/>
      <c r="O11" s="18"/>
      <c r="P11" s="18"/>
      <c r="Q11" s="19"/>
      <c r="R11" s="18"/>
      <c r="S11" s="18"/>
      <c r="T11" s="18"/>
      <c r="U11" s="18"/>
      <c r="V11" s="18"/>
      <c r="W11" s="18"/>
      <c r="X11" s="18"/>
      <c r="Y11" s="18"/>
      <c r="Z11" s="18"/>
      <c r="AA11" s="18">
        <f>3.69*AA4*$A4/100000</f>
        <v>9.7822751639530005E-3</v>
      </c>
      <c r="AB11" s="18"/>
      <c r="AC11" s="18"/>
      <c r="AD11" s="18"/>
      <c r="AE11" s="18"/>
      <c r="AF11" s="18"/>
      <c r="AG11" s="18"/>
      <c r="AH11" s="28"/>
    </row>
    <row r="12" spans="1:34" ht="20.100000000000001" customHeight="1">
      <c r="A12" s="27">
        <v>8</v>
      </c>
      <c r="B12" s="17"/>
      <c r="C12" s="18"/>
      <c r="D12" s="17"/>
      <c r="E12" s="18"/>
      <c r="F12" s="19"/>
      <c r="G12" s="18"/>
      <c r="H12" s="4">
        <f>3.69*H5*$A5/100000</f>
        <v>4.1275438671543707E-2</v>
      </c>
      <c r="I12" s="4">
        <f>3.69*I5*$A5/100000</f>
        <v>3.9119021448224519E-3</v>
      </c>
      <c r="J12" s="4">
        <f>3.69*J5*$A5/100000</f>
        <v>4.6899963305603214E-3</v>
      </c>
      <c r="K12" s="4">
        <f>3.69*K5*$A5/100000</f>
        <v>9.5999447066973095E-2</v>
      </c>
      <c r="L12" s="4">
        <f>3.69*L5*$A5/100000</f>
        <v>5.2726553691774834E-2</v>
      </c>
      <c r="M12" s="4">
        <f t="shared" si="0"/>
        <v>4.6421424545366262E-2</v>
      </c>
      <c r="N12" s="4">
        <f>3.69*N5*$A5/100000</f>
        <v>1.0816262542323504E-2</v>
      </c>
      <c r="O12" s="18"/>
      <c r="P12" s="4">
        <f t="shared" ref="P12:S13" si="1">3.69*P5*$A5/100000</f>
        <v>2.7484416689865017E-2</v>
      </c>
      <c r="Q12" s="4">
        <f t="shared" si="1"/>
        <v>1.2975297552E-2</v>
      </c>
      <c r="R12" s="4">
        <f t="shared" si="1"/>
        <v>1.3603782640727672E-2</v>
      </c>
      <c r="S12" s="4">
        <f t="shared" si="1"/>
        <v>7.0646301181497423E-3</v>
      </c>
      <c r="T12" s="18"/>
      <c r="U12" s="18"/>
      <c r="V12" s="18"/>
      <c r="W12" s="4">
        <f>3.69*W5*$A5/100000</f>
        <v>6.2455877279999992E-3</v>
      </c>
      <c r="X12" s="4">
        <f>3.69*X5*$A5/100000</f>
        <v>2.4991808013465833E-2</v>
      </c>
      <c r="Y12" s="18"/>
      <c r="Z12" s="4">
        <f>3.69*Z5*$A5/100000</f>
        <v>4.2238931796847179E-3</v>
      </c>
      <c r="AA12" s="4">
        <f>3.69*AA5*$A5/100000</f>
        <v>5.7853103550966224E-3</v>
      </c>
      <c r="AB12" s="4">
        <f>3.69*AB5*$A5/100000</f>
        <v>5.9417383679999996E-3</v>
      </c>
      <c r="AC12" s="4">
        <f>3.69*AC5*$A5/100000</f>
        <v>1.9085742720000001E-3</v>
      </c>
      <c r="AD12" s="4">
        <f>3.69*AD5*$A5/100000</f>
        <v>2.0462850720000002E-2</v>
      </c>
      <c r="AE12" s="4">
        <f>3.69*AE5*$A5/100000</f>
        <v>8.0465616E-3</v>
      </c>
      <c r="AF12" s="4">
        <f>3.69*AF5*$A5/100000</f>
        <v>5.2951972320000006E-3</v>
      </c>
      <c r="AG12" s="18"/>
      <c r="AH12" s="38">
        <f>3.69*AH5*$A5/100000</f>
        <v>1.0887616744186046</v>
      </c>
    </row>
    <row r="13" spans="1:34" ht="20.100000000000001" customHeight="1">
      <c r="A13" s="27">
        <v>16</v>
      </c>
      <c r="B13" s="4">
        <f t="shared" ref="B13:E14" si="2">3.69*B6*$A6/100000</f>
        <v>0.24746043908458229</v>
      </c>
      <c r="C13" s="4">
        <f t="shared" si="2"/>
        <v>0.14173027389246756</v>
      </c>
      <c r="D13" s="4">
        <f t="shared" si="2"/>
        <v>9.936925640371605E-2</v>
      </c>
      <c r="E13" s="4">
        <f t="shared" si="2"/>
        <v>0.10277616616838767</v>
      </c>
      <c r="F13" s="19"/>
      <c r="G13" s="4">
        <f>3.69*G6*$A6/100000</f>
        <v>0.22921112214676465</v>
      </c>
      <c r="H13" s="18"/>
      <c r="I13" s="18"/>
      <c r="J13" s="18"/>
      <c r="K13" s="4">
        <f>3.69*K6*$A6/100000</f>
        <v>9.334336946751691E-2</v>
      </c>
      <c r="L13" s="4">
        <f>3.69*L6*$A6/100000</f>
        <v>4.0859387558346547E-2</v>
      </c>
      <c r="M13" s="4">
        <f t="shared" si="0"/>
        <v>4.5407586982164239E-2</v>
      </c>
      <c r="N13" s="4">
        <f>3.69*N6*$A6/100000</f>
        <v>1.2220127599132491E-2</v>
      </c>
      <c r="O13" s="4">
        <f>3.69*O6*$A6/100000</f>
        <v>0.26191323156443208</v>
      </c>
      <c r="P13" s="4">
        <f t="shared" si="1"/>
        <v>2.1694617131388986E-2</v>
      </c>
      <c r="Q13" s="4">
        <f t="shared" si="1"/>
        <v>8.1720688319999995E-3</v>
      </c>
      <c r="R13" s="4">
        <f t="shared" si="1"/>
        <v>1.4134351440132068E-2</v>
      </c>
      <c r="S13" s="4">
        <f t="shared" si="1"/>
        <v>5.3013879908069784E-3</v>
      </c>
      <c r="T13" s="18"/>
      <c r="U13" s="4">
        <f>3.69*U6*$A6/100000</f>
        <v>3.7730395602887386E-2</v>
      </c>
      <c r="V13" s="4">
        <f>3.69*V6*$A6/100000</f>
        <v>4.4323925760000001E-2</v>
      </c>
      <c r="W13" s="18"/>
      <c r="X13" s="4">
        <f>3.69*X6*$A6/100000</f>
        <v>2.4023774084744119E-2</v>
      </c>
      <c r="Y13" s="4">
        <f>3.69*Y6*$A6/100000</f>
        <v>1.9162844025507397E-2</v>
      </c>
      <c r="Z13" s="18"/>
      <c r="AA13" s="4">
        <f>3.69*AA6*$A6/100000</f>
        <v>3.3412401152364611E-3</v>
      </c>
      <c r="AB13" s="4">
        <f>3.69*AB6*$A6/100000</f>
        <v>4.6611607679999997E-3</v>
      </c>
      <c r="AC13" s="18"/>
      <c r="AD13" s="4">
        <f>3.69*AD6*$A6/100000</f>
        <v>2.075261904E-2</v>
      </c>
      <c r="AE13" s="4">
        <f>3.69*AE6*$A6/100000</f>
        <v>5.6678399999999995E-3</v>
      </c>
      <c r="AF13" s="18"/>
      <c r="AG13" s="4">
        <f>3.69*AG6*$A6/100000</f>
        <v>6.5467094399999995E-3</v>
      </c>
      <c r="AH13" s="38">
        <f>3.69*AH6*$A6/100000</f>
        <v>1.1096590883720931</v>
      </c>
    </row>
    <row r="14" spans="1:34" ht="20.100000000000001" customHeight="1">
      <c r="A14" s="27">
        <v>32</v>
      </c>
      <c r="B14" s="4">
        <f t="shared" si="2"/>
        <v>0.24949802141844432</v>
      </c>
      <c r="C14" s="4">
        <f t="shared" si="2"/>
        <v>0.16879996387013238</v>
      </c>
      <c r="D14" s="4">
        <f t="shared" si="2"/>
        <v>7.4358407975916876E-2</v>
      </c>
      <c r="E14" s="4">
        <f t="shared" si="2"/>
        <v>0.11347983742595411</v>
      </c>
      <c r="F14" s="4">
        <f>3.69*F7*$A7/100000</f>
        <v>0.19052592940800001</v>
      </c>
      <c r="G14" s="4">
        <f>3.69*G7*$A7/100000</f>
        <v>0.28562018141067558</v>
      </c>
      <c r="H14" s="18"/>
      <c r="I14" s="18"/>
      <c r="J14" s="18"/>
      <c r="K14" s="18"/>
      <c r="L14" s="4">
        <f>3.69*L7*$A7/100000</f>
        <v>3.6087140765869288E-2</v>
      </c>
      <c r="M14" s="4">
        <f t="shared" si="0"/>
        <v>5.2062581591946398E-2</v>
      </c>
      <c r="N14" s="18"/>
      <c r="O14" s="4">
        <f>3.69*O7*$A7/100000</f>
        <v>0.23856128998543358</v>
      </c>
      <c r="P14" s="18"/>
      <c r="Q14" s="19"/>
      <c r="R14" s="4">
        <f>3.69*R7*$A7/100000</f>
        <v>1.3172526716084551E-2</v>
      </c>
      <c r="S14" s="18"/>
      <c r="T14" s="18"/>
      <c r="U14" s="4">
        <f>3.69*U7*$A7/100000</f>
        <v>3.369193576279416E-2</v>
      </c>
      <c r="V14" s="4">
        <f>3.69*V7*$A7/100000</f>
        <v>3.3048112320000003E-2</v>
      </c>
      <c r="W14" s="18"/>
      <c r="X14" s="18"/>
      <c r="Y14" s="4">
        <f>3.69*Y7*$A7/100000</f>
        <v>1.4250141927297445E-2</v>
      </c>
      <c r="Z14" s="18"/>
      <c r="AA14" s="18"/>
      <c r="AB14" s="18"/>
      <c r="AC14" s="18"/>
      <c r="AD14" s="4">
        <f>3.69*AD7*$A7/100000</f>
        <v>1.7688903552E-2</v>
      </c>
      <c r="AE14" s="4">
        <f>3.69*AE7*$A7/100000</f>
        <v>4.8669742080000005E-3</v>
      </c>
      <c r="AF14" s="18"/>
      <c r="AG14" s="18"/>
      <c r="AH14" s="38">
        <f>3.69*AH7*$A7/100000</f>
        <v>0.76135054883720932</v>
      </c>
    </row>
    <row r="15" spans="1:34" ht="20.100000000000001" customHeight="1">
      <c r="A15" s="27">
        <v>64</v>
      </c>
      <c r="B15" s="4">
        <f>3.69*B8*$A8/100000</f>
        <v>0.22241405543003268</v>
      </c>
      <c r="C15" s="4">
        <f>3.69*C8*$A8/100000</f>
        <v>0.21038464157446674</v>
      </c>
      <c r="D15" s="18"/>
      <c r="E15" s="18"/>
      <c r="F15" s="4">
        <f>3.69*F8*$A8/100000</f>
        <v>0.22099489113600002</v>
      </c>
      <c r="G15" s="4">
        <f>3.69*G8*$A8/100000</f>
        <v>0.26696718016897031</v>
      </c>
      <c r="H15" s="18"/>
      <c r="I15" s="18"/>
      <c r="J15" s="18"/>
      <c r="K15" s="18"/>
      <c r="L15" s="18"/>
      <c r="M15" s="4">
        <f t="shared" si="0"/>
        <v>6.0015248378597091E-2</v>
      </c>
      <c r="N15" s="18"/>
      <c r="O15" s="4">
        <f>3.69*O8*$A8/100000</f>
        <v>0.19739780619816785</v>
      </c>
      <c r="P15" s="18"/>
      <c r="Q15" s="19"/>
      <c r="R15" s="18"/>
      <c r="S15" s="18"/>
      <c r="T15" s="4">
        <f>3.69*T8*$A8/100000</f>
        <v>0.29406366776680803</v>
      </c>
      <c r="U15" s="18"/>
      <c r="V15" s="18"/>
      <c r="W15" s="18"/>
      <c r="X15" s="18"/>
      <c r="Y15" s="4">
        <f>3.69*Y8*$A8/100000</f>
        <v>4.9608965344900132E-3</v>
      </c>
      <c r="Z15" s="18"/>
      <c r="AA15" s="18"/>
      <c r="AB15" s="18"/>
      <c r="AC15" s="18"/>
      <c r="AD15" s="18"/>
      <c r="AE15" s="18"/>
      <c r="AF15" s="18"/>
      <c r="AG15" s="18"/>
      <c r="AH15" s="38">
        <f>3.69*AH8*$A8/100000</f>
        <v>0.5396896744186046</v>
      </c>
    </row>
    <row r="16" spans="1:34" ht="20.100000000000001" customHeight="1" thickBot="1">
      <c r="A16" s="30">
        <v>128</v>
      </c>
      <c r="B16" s="39"/>
      <c r="C16" s="40">
        <f>3.69*C9*$A9/100000</f>
        <v>0.12206973029229923</v>
      </c>
      <c r="D16" s="39"/>
      <c r="E16" s="39"/>
      <c r="F16" s="40">
        <f>3.69*F9*$A9/100000</f>
        <v>0.23938263935999998</v>
      </c>
      <c r="G16" s="40">
        <f>3.69*G9*$A9/100000</f>
        <v>0.21596859137798208</v>
      </c>
      <c r="H16" s="39"/>
      <c r="I16" s="39"/>
      <c r="J16" s="39"/>
      <c r="K16" s="39"/>
      <c r="L16" s="39"/>
      <c r="M16" s="40">
        <f t="shared" si="0"/>
        <v>5.5182044740232417E-2</v>
      </c>
      <c r="N16" s="39"/>
      <c r="O16" s="40">
        <f>3.69*O9*$A9/100000</f>
        <v>0.14107973500275142</v>
      </c>
      <c r="P16" s="39"/>
      <c r="Q16" s="42"/>
      <c r="R16" s="39"/>
      <c r="S16" s="39"/>
      <c r="T16" s="40">
        <f>3.69*T9*$A9/100000</f>
        <v>0.20681295568575403</v>
      </c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41">
        <f>3.69*AH9*$A9/100000</f>
        <v>0.43431471627906976</v>
      </c>
    </row>
    <row r="17" spans="1:34" s="10" customFormat="1" ht="20.100000000000001" customHeight="1">
      <c r="A17" s="1" t="s">
        <v>37</v>
      </c>
      <c r="B17" s="8">
        <f t="shared" ref="B17:AH17" si="3">MAX(B11:B16)</f>
        <v>0.24949802141844432</v>
      </c>
      <c r="C17" s="8">
        <f t="shared" si="3"/>
        <v>0.21038464157446674</v>
      </c>
      <c r="D17" s="8">
        <f t="shared" si="3"/>
        <v>9.936925640371605E-2</v>
      </c>
      <c r="E17" s="8">
        <f t="shared" si="3"/>
        <v>0.11347983742595411</v>
      </c>
      <c r="F17" s="8">
        <f t="shared" si="3"/>
        <v>0.23938263935999998</v>
      </c>
      <c r="G17" s="8">
        <f t="shared" si="3"/>
        <v>0.28562018141067558</v>
      </c>
      <c r="H17" s="8">
        <f t="shared" si="3"/>
        <v>4.1275438671543707E-2</v>
      </c>
      <c r="I17" s="8">
        <f t="shared" si="3"/>
        <v>5.8622288129997081E-3</v>
      </c>
      <c r="J17" s="8">
        <f t="shared" si="3"/>
        <v>4.6899963305603214E-3</v>
      </c>
      <c r="K17" s="8">
        <f t="shared" si="3"/>
        <v>9.5999447066973095E-2</v>
      </c>
      <c r="L17" s="8">
        <f t="shared" si="3"/>
        <v>5.2726553691774834E-2</v>
      </c>
      <c r="M17" s="8">
        <f t="shared" si="3"/>
        <v>6.0015248378597091E-2</v>
      </c>
      <c r="N17" s="8">
        <f t="shared" si="3"/>
        <v>1.2220127599132491E-2</v>
      </c>
      <c r="O17" s="8">
        <f t="shared" si="3"/>
        <v>0.26191323156443208</v>
      </c>
      <c r="P17" s="8">
        <f t="shared" si="3"/>
        <v>2.7484416689865017E-2</v>
      </c>
      <c r="Q17" s="8">
        <f t="shared" si="3"/>
        <v>1.2975297552E-2</v>
      </c>
      <c r="R17" s="8">
        <f t="shared" si="3"/>
        <v>1.4134351440132068E-2</v>
      </c>
      <c r="S17" s="8">
        <f t="shared" si="3"/>
        <v>7.0646301181497423E-3</v>
      </c>
      <c r="T17" s="8">
        <f t="shared" si="3"/>
        <v>0.29406366776680803</v>
      </c>
      <c r="U17" s="8">
        <f t="shared" si="3"/>
        <v>3.7730395602887386E-2</v>
      </c>
      <c r="V17" s="8">
        <f t="shared" si="3"/>
        <v>4.4323925760000001E-2</v>
      </c>
      <c r="W17" s="8">
        <f t="shared" si="3"/>
        <v>6.2455877279999992E-3</v>
      </c>
      <c r="X17" s="8">
        <f t="shared" si="3"/>
        <v>2.4991808013465833E-2</v>
      </c>
      <c r="Y17" s="8">
        <f t="shared" si="3"/>
        <v>1.9162844025507397E-2</v>
      </c>
      <c r="Z17" s="8">
        <f t="shared" si="3"/>
        <v>4.2238931796847179E-3</v>
      </c>
      <c r="AA17" s="8">
        <f t="shared" si="3"/>
        <v>9.7822751639530005E-3</v>
      </c>
      <c r="AB17" s="8">
        <f t="shared" si="3"/>
        <v>5.9417383679999996E-3</v>
      </c>
      <c r="AC17" s="8">
        <f t="shared" si="3"/>
        <v>1.9085742720000001E-3</v>
      </c>
      <c r="AD17" s="8">
        <f t="shared" si="3"/>
        <v>2.075261904E-2</v>
      </c>
      <c r="AE17" s="8">
        <f t="shared" si="3"/>
        <v>8.0465616E-3</v>
      </c>
      <c r="AF17" s="8">
        <f t="shared" si="3"/>
        <v>5.2951972320000006E-3</v>
      </c>
      <c r="AG17" s="8">
        <f t="shared" si="3"/>
        <v>6.5467094399999995E-3</v>
      </c>
      <c r="AH17" s="9">
        <f t="shared" si="3"/>
        <v>1.1096590883720931</v>
      </c>
    </row>
    <row r="18" spans="1:34" s="10" customFormat="1" ht="20.100000000000001" customHeight="1">
      <c r="A18" s="2" t="s">
        <v>39</v>
      </c>
      <c r="B18" s="11">
        <f>B17*1/2.5</f>
        <v>9.9799208567377728E-2</v>
      </c>
      <c r="C18" s="11">
        <f t="shared" ref="C18:AA18" si="4">C17*1/2.5</f>
        <v>8.4153856629786694E-2</v>
      </c>
      <c r="D18" s="11">
        <f t="shared" si="4"/>
        <v>3.9747702561486423E-2</v>
      </c>
      <c r="E18" s="11">
        <f t="shared" si="4"/>
        <v>4.5391934970381645E-2</v>
      </c>
      <c r="F18" s="11">
        <f t="shared" si="4"/>
        <v>9.575305574399999E-2</v>
      </c>
      <c r="G18" s="11">
        <f t="shared" si="4"/>
        <v>0.11424807256427023</v>
      </c>
      <c r="H18" s="11">
        <f t="shared" si="4"/>
        <v>1.6510175468617484E-2</v>
      </c>
      <c r="I18" s="11">
        <f t="shared" si="4"/>
        <v>2.3448915251998831E-3</v>
      </c>
      <c r="J18" s="11">
        <f t="shared" si="4"/>
        <v>1.8759985322241285E-3</v>
      </c>
      <c r="K18" s="11">
        <f t="shared" si="4"/>
        <v>3.8399778826789237E-2</v>
      </c>
      <c r="L18" s="11">
        <f t="shared" si="4"/>
        <v>2.1090621476709932E-2</v>
      </c>
      <c r="M18" s="11">
        <f t="shared" si="4"/>
        <v>2.4006099351438836E-2</v>
      </c>
      <c r="N18" s="11">
        <f t="shared" si="4"/>
        <v>4.8880510396529962E-3</v>
      </c>
      <c r="O18" s="11">
        <f t="shared" si="4"/>
        <v>0.10476529262577283</v>
      </c>
      <c r="P18" s="11">
        <f t="shared" si="4"/>
        <v>1.0993766675946006E-2</v>
      </c>
      <c r="Q18" s="11">
        <f t="shared" si="4"/>
        <v>5.1901190207999997E-3</v>
      </c>
      <c r="R18" s="11">
        <f t="shared" si="4"/>
        <v>5.6537405760528269E-3</v>
      </c>
      <c r="S18" s="11">
        <f t="shared" si="4"/>
        <v>2.8258520472598967E-3</v>
      </c>
      <c r="T18" s="11">
        <f t="shared" si="4"/>
        <v>0.11762546710672321</v>
      </c>
      <c r="U18" s="11">
        <f t="shared" si="4"/>
        <v>1.5092158241154955E-2</v>
      </c>
      <c r="V18" s="11">
        <f t="shared" ref="V18:W18" si="5">V17*1/2.5</f>
        <v>1.7729570303999999E-2</v>
      </c>
      <c r="W18" s="11">
        <f t="shared" si="5"/>
        <v>2.4982350911999995E-3</v>
      </c>
      <c r="X18" s="11">
        <f t="shared" si="4"/>
        <v>9.9967232053863337E-3</v>
      </c>
      <c r="Y18" s="11">
        <f t="shared" si="4"/>
        <v>7.6651376102029583E-3</v>
      </c>
      <c r="Z18" s="11">
        <f t="shared" si="4"/>
        <v>1.6895572718738871E-3</v>
      </c>
      <c r="AA18" s="11">
        <f t="shared" si="4"/>
        <v>3.9129100655812005E-3</v>
      </c>
      <c r="AB18" s="11">
        <f t="shared" ref="AB18:AC18" si="6">AB17*1/2.5</f>
        <v>2.3766953471999999E-3</v>
      </c>
      <c r="AC18" s="11">
        <f t="shared" si="6"/>
        <v>7.6342970880000007E-4</v>
      </c>
      <c r="AD18" s="11">
        <f t="shared" ref="AD18:AE18" si="7">AD17*1/2.5</f>
        <v>8.3010476159999999E-3</v>
      </c>
      <c r="AE18" s="11">
        <f t="shared" si="7"/>
        <v>3.2186246399999998E-3</v>
      </c>
      <c r="AF18" s="11">
        <f t="shared" ref="AF18:AG18" si="8">AF17*1/2.5</f>
        <v>2.1180788928000004E-3</v>
      </c>
      <c r="AG18" s="11">
        <f t="shared" si="8"/>
        <v>2.6186837759999996E-3</v>
      </c>
      <c r="AH18" s="12">
        <f t="shared" ref="AH18" si="9">AH17*1/2.5</f>
        <v>0.44386363534883727</v>
      </c>
    </row>
    <row r="19" spans="1:34" s="10" customFormat="1" ht="20.100000000000001" customHeight="1" thickBot="1">
      <c r="A19" s="3" t="s">
        <v>25</v>
      </c>
      <c r="B19" s="13">
        <f>2500*B18*1000000000</f>
        <v>249498021418.44434</v>
      </c>
      <c r="C19" s="13">
        <f t="shared" ref="C19:G19" si="10">2500*C18*1000000000</f>
        <v>210384641574.46674</v>
      </c>
      <c r="D19" s="13">
        <f t="shared" si="10"/>
        <v>99369256403.716049</v>
      </c>
      <c r="E19" s="13">
        <f t="shared" si="10"/>
        <v>113479837425.95412</v>
      </c>
      <c r="F19" s="13">
        <f t="shared" si="10"/>
        <v>239382639359.99997</v>
      </c>
      <c r="G19" s="13">
        <f t="shared" si="10"/>
        <v>285620181410.6756</v>
      </c>
      <c r="H19" s="13">
        <f t="shared" ref="H19:I19" si="11">2500*H18*1000000000</f>
        <v>41275438671.543709</v>
      </c>
      <c r="I19" s="13">
        <f t="shared" si="11"/>
        <v>5862228812.9997072</v>
      </c>
      <c r="J19" s="13">
        <f t="shared" ref="J19" si="12">2500*J18*1000000000</f>
        <v>4689996330.5603209</v>
      </c>
      <c r="K19" s="13">
        <f t="shared" ref="K19:L19" si="13">2500*K18*1000000000</f>
        <v>95999447066.973083</v>
      </c>
      <c r="L19" s="13">
        <f t="shared" si="13"/>
        <v>52726553691.774834</v>
      </c>
      <c r="M19" s="13">
        <f t="shared" ref="M19:N19" si="14">2500*M18*1000000000</f>
        <v>60015248378.597092</v>
      </c>
      <c r="N19" s="13">
        <f t="shared" si="14"/>
        <v>12220127599.13249</v>
      </c>
      <c r="O19" s="13">
        <f t="shared" ref="O19:P19" si="15">2500*O18*1000000000</f>
        <v>261913231564.43207</v>
      </c>
      <c r="P19" s="13">
        <f t="shared" si="15"/>
        <v>27484416689.865013</v>
      </c>
      <c r="Q19" s="13">
        <f t="shared" ref="Q19" si="16">2500*Q18*1000000000</f>
        <v>12975297551.999998</v>
      </c>
      <c r="R19" s="13">
        <f t="shared" ref="R19:S19" si="17">2500*R18*1000000000</f>
        <v>14134351440.132069</v>
      </c>
      <c r="S19" s="13">
        <f t="shared" si="17"/>
        <v>7064630118.1497421</v>
      </c>
      <c r="T19" s="13">
        <f t="shared" ref="T19:AA19" si="18">2500*T18*1000000000</f>
        <v>294063667766.80798</v>
      </c>
      <c r="U19" s="13">
        <f t="shared" si="18"/>
        <v>37730395602.887383</v>
      </c>
      <c r="V19" s="13">
        <f t="shared" ref="V19:W19" si="19">2500*V18*1000000000</f>
        <v>44323925759.999992</v>
      </c>
      <c r="W19" s="13">
        <f t="shared" si="19"/>
        <v>6245587727.9999981</v>
      </c>
      <c r="X19" s="13">
        <f t="shared" si="18"/>
        <v>24991808013.465836</v>
      </c>
      <c r="Y19" s="13">
        <f t="shared" si="18"/>
        <v>19162844025.507397</v>
      </c>
      <c r="Z19" s="13">
        <f t="shared" si="18"/>
        <v>4223893179.6847181</v>
      </c>
      <c r="AA19" s="13">
        <f t="shared" si="18"/>
        <v>9782275163.953001</v>
      </c>
      <c r="AB19" s="13">
        <f t="shared" ref="AB19:AC19" si="20">2500*AB18*1000000000</f>
        <v>5941738368</v>
      </c>
      <c r="AC19" s="13">
        <f t="shared" si="20"/>
        <v>1908574272</v>
      </c>
      <c r="AD19" s="13">
        <f t="shared" ref="AD19:AE19" si="21">2500*AD18*1000000000</f>
        <v>20752619040</v>
      </c>
      <c r="AE19" s="13">
        <f t="shared" si="21"/>
        <v>8046561600</v>
      </c>
      <c r="AF19" s="13">
        <f t="shared" ref="AF19:AG19" si="22">2500*AF18*1000000000</f>
        <v>5295197232.000001</v>
      </c>
      <c r="AG19" s="13">
        <f t="shared" si="22"/>
        <v>6546709439.999999</v>
      </c>
      <c r="AH19" s="14">
        <f t="shared" ref="AH19" si="23">2500*AH18*1000000000</f>
        <v>1109659088372.0933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山元孝広</dc:creator>
  <cp:lastModifiedBy>川畑晶</cp:lastModifiedBy>
  <dcterms:created xsi:type="dcterms:W3CDTF">2019-06-28T02:13:23Z</dcterms:created>
  <dcterms:modified xsi:type="dcterms:W3CDTF">2021-03-04T07:33:32Z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2021-03-04T07:33:26.6804359Z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ec48e713-8b70-47fa-8622-787febb693ba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